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38" windowWidth="18870" windowHeight="7433"/>
  </bookViews>
  <sheets>
    <sheet name="biapoyada" sheetId="1" r:id="rId1"/>
  </sheets>
  <calcPr calcId="145621"/>
</workbook>
</file>

<file path=xl/calcChain.xml><?xml version="1.0" encoding="utf-8"?>
<calcChain xmlns="http://schemas.openxmlformats.org/spreadsheetml/2006/main">
  <c r="C15" i="1" l="1"/>
  <c r="C17" i="1" s="1"/>
  <c r="B41" i="1"/>
  <c r="B42" i="1" s="1"/>
  <c r="F20" i="1"/>
  <c r="C16" i="1"/>
  <c r="C18" i="1"/>
  <c r="C22" i="1" s="1"/>
  <c r="C8" i="1"/>
  <c r="C19" i="1" s="1"/>
  <c r="H20" i="1" s="1"/>
  <c r="B30" i="1" l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C42" i="1"/>
  <c r="D42" i="1" s="1"/>
  <c r="B43" i="1"/>
  <c r="J20" i="1"/>
  <c r="C20" i="1" s="1"/>
  <c r="C21" i="1" s="1"/>
  <c r="C23" i="1" s="1"/>
  <c r="G42" i="1" l="1"/>
  <c r="F42" i="1"/>
  <c r="E42" i="1"/>
  <c r="B44" i="1"/>
  <c r="B45" i="1" s="1"/>
  <c r="C43" i="1"/>
  <c r="H42" i="1" l="1"/>
  <c r="C44" i="1"/>
  <c r="G43" i="1"/>
  <c r="F43" i="1"/>
  <c r="D43" i="1"/>
  <c r="E43" i="1" s="1"/>
  <c r="C45" i="1"/>
  <c r="B46" i="1"/>
  <c r="K41" i="1"/>
  <c r="K40" i="1"/>
  <c r="K39" i="1"/>
  <c r="K38" i="1"/>
  <c r="K37" i="1"/>
  <c r="K36" i="1"/>
  <c r="K35" i="1"/>
  <c r="K34" i="1"/>
  <c r="K33" i="1"/>
  <c r="K32" i="1"/>
  <c r="K31" i="1"/>
  <c r="K30" i="1"/>
  <c r="J41" i="1"/>
  <c r="J40" i="1"/>
  <c r="J39" i="1"/>
  <c r="J38" i="1"/>
  <c r="J37" i="1"/>
  <c r="J36" i="1"/>
  <c r="J35" i="1"/>
  <c r="J34" i="1"/>
  <c r="J33" i="1"/>
  <c r="J32" i="1"/>
  <c r="J31" i="1"/>
  <c r="J30" i="1"/>
  <c r="G45" i="1" l="1"/>
  <c r="F45" i="1"/>
  <c r="D45" i="1"/>
  <c r="H43" i="1"/>
  <c r="I43" i="1" s="1"/>
  <c r="F44" i="1"/>
  <c r="G44" i="1"/>
  <c r="D44" i="1"/>
  <c r="E44" i="1" s="1"/>
  <c r="B47" i="1"/>
  <c r="C46" i="1"/>
  <c r="H44" i="1" l="1"/>
  <c r="I44" i="1" s="1"/>
  <c r="G46" i="1"/>
  <c r="F46" i="1"/>
  <c r="D46" i="1"/>
  <c r="E46" i="1" s="1"/>
  <c r="E45" i="1"/>
  <c r="H45" i="1" s="1"/>
  <c r="B48" i="1"/>
  <c r="C47" i="1"/>
  <c r="C30" i="1"/>
  <c r="C31" i="1"/>
  <c r="C39" i="1"/>
  <c r="C34" i="1"/>
  <c r="C35" i="1"/>
  <c r="C38" i="1"/>
  <c r="C32" i="1"/>
  <c r="C36" i="1"/>
  <c r="C40" i="1"/>
  <c r="C29" i="1"/>
  <c r="C33" i="1"/>
  <c r="C37" i="1"/>
  <c r="C41" i="1"/>
  <c r="I45" i="1" l="1"/>
  <c r="F36" i="1"/>
  <c r="G36" i="1"/>
  <c r="D36" i="1"/>
  <c r="E36" i="1" s="1"/>
  <c r="G35" i="1"/>
  <c r="F35" i="1"/>
  <c r="D35" i="1"/>
  <c r="E35" i="1" s="1"/>
  <c r="G33" i="1"/>
  <c r="F33" i="1"/>
  <c r="D33" i="1"/>
  <c r="E33" i="1" s="1"/>
  <c r="F32" i="1"/>
  <c r="G32" i="1"/>
  <c r="D32" i="1"/>
  <c r="E32" i="1" s="1"/>
  <c r="G34" i="1"/>
  <c r="F34" i="1"/>
  <c r="D34" i="1"/>
  <c r="E34" i="1" s="1"/>
  <c r="G39" i="1"/>
  <c r="F39" i="1"/>
  <c r="D39" i="1"/>
  <c r="E39" i="1" s="1"/>
  <c r="G47" i="1"/>
  <c r="F47" i="1"/>
  <c r="D47" i="1"/>
  <c r="E47" i="1" s="1"/>
  <c r="G29" i="1"/>
  <c r="F29" i="1"/>
  <c r="G41" i="1"/>
  <c r="F41" i="1"/>
  <c r="D41" i="1"/>
  <c r="E41" i="1" s="1"/>
  <c r="F40" i="1"/>
  <c r="G40" i="1"/>
  <c r="D40" i="1"/>
  <c r="E40" i="1" s="1"/>
  <c r="G38" i="1"/>
  <c r="F38" i="1"/>
  <c r="D38" i="1"/>
  <c r="E38" i="1" s="1"/>
  <c r="G31" i="1"/>
  <c r="F31" i="1"/>
  <c r="D31" i="1"/>
  <c r="E31" i="1" s="1"/>
  <c r="G37" i="1"/>
  <c r="F37" i="1"/>
  <c r="D37" i="1"/>
  <c r="E37" i="1" s="1"/>
  <c r="G30" i="1"/>
  <c r="F30" i="1"/>
  <c r="D30" i="1"/>
  <c r="E30" i="1" s="1"/>
  <c r="H46" i="1"/>
  <c r="I46" i="1" s="1"/>
  <c r="C48" i="1"/>
  <c r="B49" i="1"/>
  <c r="H41" i="1" l="1"/>
  <c r="I42" i="1" s="1"/>
  <c r="H38" i="1"/>
  <c r="H30" i="1"/>
  <c r="H29" i="1"/>
  <c r="F48" i="1"/>
  <c r="G48" i="1"/>
  <c r="D48" i="1"/>
  <c r="E48" i="1" s="1"/>
  <c r="B50" i="1"/>
  <c r="C49" i="1"/>
  <c r="H47" i="1"/>
  <c r="I47" i="1" s="1"/>
  <c r="H33" i="1"/>
  <c r="H36" i="1"/>
  <c r="H40" i="1"/>
  <c r="I41" i="1" s="1"/>
  <c r="H35" i="1"/>
  <c r="H32" i="1"/>
  <c r="H37" i="1"/>
  <c r="H31" i="1"/>
  <c r="H39" i="1"/>
  <c r="I39" i="1" s="1"/>
  <c r="L39" i="1" s="1"/>
  <c r="H34" i="1"/>
  <c r="I30" i="1" l="1"/>
  <c r="N30" i="1" s="1"/>
  <c r="O30" i="1" s="1"/>
  <c r="G49" i="1"/>
  <c r="F49" i="1"/>
  <c r="D49" i="1"/>
  <c r="E49" i="1" s="1"/>
  <c r="I32" i="1"/>
  <c r="L32" i="1" s="1"/>
  <c r="I31" i="1"/>
  <c r="L31" i="1" s="1"/>
  <c r="I34" i="1"/>
  <c r="L34" i="1" s="1"/>
  <c r="I33" i="1"/>
  <c r="L33" i="1" s="1"/>
  <c r="H48" i="1"/>
  <c r="I48" i="1" s="1"/>
  <c r="C50" i="1"/>
  <c r="B51" i="1"/>
  <c r="I40" i="1"/>
  <c r="L40" i="1" s="1"/>
  <c r="I37" i="1"/>
  <c r="L37" i="1" s="1"/>
  <c r="I36" i="1"/>
  <c r="N39" i="1"/>
  <c r="L41" i="1"/>
  <c r="N41" i="1"/>
  <c r="I38" i="1"/>
  <c r="L38" i="1" s="1"/>
  <c r="I35" i="1"/>
  <c r="L35" i="1" s="1"/>
  <c r="L30" i="1" l="1"/>
  <c r="M30" i="1" s="1"/>
  <c r="M31" i="1" s="1"/>
  <c r="M32" i="1" s="1"/>
  <c r="M33" i="1" s="1"/>
  <c r="M34" i="1" s="1"/>
  <c r="M35" i="1" s="1"/>
  <c r="G50" i="1"/>
  <c r="F50" i="1"/>
  <c r="D50" i="1"/>
  <c r="E50" i="1" s="1"/>
  <c r="N34" i="1"/>
  <c r="N32" i="1"/>
  <c r="N31" i="1"/>
  <c r="O31" i="1" s="1"/>
  <c r="N33" i="1"/>
  <c r="N40" i="1"/>
  <c r="N37" i="1"/>
  <c r="N38" i="1"/>
  <c r="H49" i="1"/>
  <c r="I49" i="1" s="1"/>
  <c r="B52" i="1"/>
  <c r="C51" i="1"/>
  <c r="N35" i="1"/>
  <c r="N36" i="1"/>
  <c r="L36" i="1"/>
  <c r="O32" i="1" l="1"/>
  <c r="O33" i="1" s="1"/>
  <c r="O34" i="1" s="1"/>
  <c r="O35" i="1" s="1"/>
  <c r="O36" i="1" s="1"/>
  <c r="O37" i="1" s="1"/>
  <c r="O38" i="1" s="1"/>
  <c r="O39" i="1" s="1"/>
  <c r="O40" i="1" s="1"/>
  <c r="O41" i="1" s="1"/>
  <c r="G51" i="1"/>
  <c r="F51" i="1"/>
  <c r="D51" i="1"/>
  <c r="E51" i="1" s="1"/>
  <c r="B53" i="1"/>
  <c r="C52" i="1"/>
  <c r="H50" i="1"/>
  <c r="I50" i="1" s="1"/>
  <c r="M36" i="1"/>
  <c r="M37" i="1" s="1"/>
  <c r="M38" i="1" s="1"/>
  <c r="M39" i="1" s="1"/>
  <c r="M40" i="1" s="1"/>
  <c r="M41" i="1" s="1"/>
  <c r="N43" i="1" l="1"/>
  <c r="M20" i="1" s="1"/>
  <c r="F52" i="1"/>
  <c r="G52" i="1"/>
  <c r="D52" i="1"/>
  <c r="E52" i="1" s="1"/>
  <c r="C53" i="1"/>
  <c r="H51" i="1"/>
  <c r="I51" i="1" s="1"/>
  <c r="G53" i="1" l="1"/>
  <c r="F53" i="1"/>
  <c r="E53" i="1"/>
  <c r="H52" i="1"/>
  <c r="I52" i="1" s="1"/>
  <c r="H53" i="1" l="1"/>
  <c r="I53" i="1" s="1"/>
</calcChain>
</file>

<file path=xl/sharedStrings.xml><?xml version="1.0" encoding="utf-8"?>
<sst xmlns="http://schemas.openxmlformats.org/spreadsheetml/2006/main" count="74" uniqueCount="55">
  <si>
    <t>Mk</t>
  </si>
  <si>
    <t>x</t>
  </si>
  <si>
    <t>kN/m</t>
  </si>
  <si>
    <t>Mf</t>
  </si>
  <si>
    <t>Ib</t>
  </si>
  <si>
    <t>cm4</t>
  </si>
  <si>
    <t>E</t>
  </si>
  <si>
    <t>dx</t>
  </si>
  <si>
    <t>FLECHA</t>
  </si>
  <si>
    <t>m</t>
  </si>
  <si>
    <t>Viga biapoyada</t>
  </si>
  <si>
    <t>b</t>
  </si>
  <si>
    <t>h</t>
  </si>
  <si>
    <t>Armadura</t>
  </si>
  <si>
    <t>Casi igual en toda la viga</t>
  </si>
  <si>
    <t>Luz</t>
  </si>
  <si>
    <t>cm2</t>
  </si>
  <si>
    <t>fck</t>
  </si>
  <si>
    <t>carga</t>
  </si>
  <si>
    <t>fct</t>
  </si>
  <si>
    <t>MPa</t>
  </si>
  <si>
    <t>CALCULAR LA FLECHA INTEGRANDO CURVATURAS</t>
  </si>
  <si>
    <t>xf</t>
  </si>
  <si>
    <t>DATOS</t>
  </si>
  <si>
    <t>Reacción</t>
  </si>
  <si>
    <t>n·As</t>
  </si>
  <si>
    <t>C=</t>
  </si>
  <si>
    <t>B=</t>
  </si>
  <si>
    <t>A=</t>
  </si>
  <si>
    <t>Resultados previos</t>
  </si>
  <si>
    <t>aprox. = fck/10</t>
  </si>
  <si>
    <t>E·Ib</t>
  </si>
  <si>
    <t>E·Ifis</t>
  </si>
  <si>
    <t>Ifis</t>
  </si>
  <si>
    <t>[-]</t>
  </si>
  <si>
    <t>Curvatura</t>
  </si>
  <si>
    <t>Bruta</t>
  </si>
  <si>
    <t>Fisurada</t>
  </si>
  <si>
    <t>[mkN]</t>
  </si>
  <si>
    <t>[m-1]</t>
  </si>
  <si>
    <t>Equiv</t>
  </si>
  <si>
    <t>1-b</t>
  </si>
  <si>
    <t>Media
intervalo</t>
  </si>
  <si>
    <t>Dist
centro</t>
  </si>
  <si>
    <t>Interpolación
Eurocódigo</t>
  </si>
  <si>
    <t>[m]</t>
  </si>
  <si>
    <t>Integración</t>
  </si>
  <si>
    <t>Area
(giro)</t>
  </si>
  <si>
    <t>[rad]</t>
  </si>
  <si>
    <t>A acum
(giro)</t>
  </si>
  <si>
    <t>Flecha
centro</t>
  </si>
  <si>
    <t>Flecha acum
centro</t>
  </si>
  <si>
    <t>m·kN</t>
  </si>
  <si>
    <t>kN·m2</t>
  </si>
  <si>
    <t>Interpolación Eurocódigo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</si>
</sst>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"/>
    <numFmt numFmtId="166" formatCode="0.000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Monospac821 BT"/>
      <family val="3"/>
    </font>
    <font>
      <b/>
      <sz val="11"/>
      <color theme="1"/>
      <name val="Monospac821 BT"/>
      <family val="3"/>
    </font>
    <font>
      <b/>
      <sz val="14"/>
      <color theme="1"/>
      <name val="Monospac821 BT"/>
      <family val="3"/>
    </font>
    <font>
      <b/>
      <sz val="16"/>
      <color theme="1"/>
      <name val="Monospac821 BT"/>
      <family val="3"/>
    </font>
    <font>
      <b/>
      <sz val="22"/>
      <color theme="1"/>
      <name val="Monospac821 BT"/>
      <family val="3"/>
    </font>
    <font>
      <sz val="11"/>
      <color theme="1" tint="0.499984740745262"/>
      <name val="Monospac821 BT"/>
      <family val="3"/>
    </font>
    <font>
      <i/>
      <sz val="10"/>
      <color theme="1" tint="0.499984740745262"/>
      <name val="Monospac821 B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6" xfId="0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1" fillId="0" borderId="8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2" fontId="1" fillId="0" borderId="6" xfId="0" applyNumberFormat="1" applyFont="1" applyBorder="1" applyAlignment="1" applyProtection="1">
      <alignment vertical="center"/>
    </xf>
    <xf numFmtId="1" fontId="1" fillId="0" borderId="6" xfId="0" applyNumberFormat="1" applyFont="1" applyBorder="1" applyAlignment="1" applyProtection="1">
      <alignment vertical="center"/>
    </xf>
    <xf numFmtId="165" fontId="1" fillId="0" borderId="6" xfId="0" applyNumberFormat="1" applyFont="1" applyBorder="1" applyAlignment="1" applyProtection="1">
      <alignment vertical="center"/>
    </xf>
    <xf numFmtId="0" fontId="7" fillId="0" borderId="7" xfId="0" applyFont="1" applyBorder="1" applyAlignment="1" applyProtection="1">
      <alignment horizontal="right" vertical="center"/>
    </xf>
    <xf numFmtId="0" fontId="7" fillId="0" borderId="9" xfId="0" applyFont="1" applyBorder="1" applyAlignment="1" applyProtection="1">
      <alignment horizontal="left" vertical="center"/>
    </xf>
    <xf numFmtId="166" fontId="7" fillId="0" borderId="9" xfId="0" applyNumberFormat="1" applyFont="1" applyBorder="1" applyAlignment="1" applyProtection="1">
      <alignment horizontal="left" vertical="center"/>
    </xf>
    <xf numFmtId="0" fontId="7" fillId="0" borderId="8" xfId="0" applyFont="1" applyBorder="1" applyAlignment="1" applyProtection="1">
      <alignment horizontal="right" vertical="center"/>
    </xf>
    <xf numFmtId="165" fontId="7" fillId="0" borderId="9" xfId="0" applyNumberFormat="1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vertical="center"/>
    </xf>
    <xf numFmtId="166" fontId="4" fillId="2" borderId="8" xfId="0" applyNumberFormat="1" applyFont="1" applyFill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1" fontId="1" fillId="0" borderId="0" xfId="0" applyNumberFormat="1" applyFont="1" applyBorder="1" applyAlignment="1" applyProtection="1">
      <alignment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1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2" fontId="1" fillId="0" borderId="13" xfId="0" applyNumberFormat="1" applyFont="1" applyBorder="1" applyAlignment="1" applyProtection="1">
      <alignment vertical="center"/>
    </xf>
    <xf numFmtId="167" fontId="1" fillId="0" borderId="0" xfId="0" applyNumberFormat="1" applyFont="1" applyAlignment="1" applyProtection="1">
      <alignment vertical="center"/>
    </xf>
    <xf numFmtId="166" fontId="1" fillId="0" borderId="2" xfId="0" applyNumberFormat="1" applyFont="1" applyBorder="1" applyAlignment="1" applyProtection="1">
      <alignment vertical="center"/>
    </xf>
    <xf numFmtId="166" fontId="1" fillId="0" borderId="4" xfId="0" applyNumberFormat="1" applyFont="1" applyBorder="1" applyAlignment="1" applyProtection="1">
      <alignment vertical="center"/>
    </xf>
    <xf numFmtId="0" fontId="1" fillId="0" borderId="10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13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164" fontId="1" fillId="0" borderId="2" xfId="0" applyNumberFormat="1" applyFont="1" applyBorder="1" applyAlignment="1" applyProtection="1">
      <alignment vertical="center"/>
    </xf>
    <xf numFmtId="164" fontId="1" fillId="0" borderId="4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164" fontId="1" fillId="0" borderId="3" xfId="0" applyNumberFormat="1" applyFont="1" applyBorder="1" applyAlignment="1" applyProtection="1">
      <alignment vertical="center"/>
    </xf>
    <xf numFmtId="164" fontId="1" fillId="2" borderId="5" xfId="0" applyNumberFormat="1" applyFont="1" applyFill="1" applyBorder="1" applyAlignment="1" applyProtection="1">
      <alignment vertical="center"/>
    </xf>
    <xf numFmtId="0" fontId="1" fillId="0" borderId="7" xfId="0" applyFont="1" applyBorder="1" applyAlignment="1" applyProtection="1">
      <alignment vertical="center"/>
    </xf>
    <xf numFmtId="166" fontId="1" fillId="2" borderId="8" xfId="0" applyNumberFormat="1" applyFont="1" applyFill="1" applyBorder="1" applyAlignment="1" applyProtection="1">
      <alignment vertical="center"/>
    </xf>
    <xf numFmtId="2" fontId="1" fillId="0" borderId="14" xfId="0" applyNumberFormat="1" applyFont="1" applyBorder="1" applyAlignment="1" applyProtection="1">
      <alignment vertical="center"/>
    </xf>
    <xf numFmtId="166" fontId="1" fillId="0" borderId="3" xfId="0" applyNumberFormat="1" applyFont="1" applyBorder="1" applyAlignment="1" applyProtection="1">
      <alignment vertical="center"/>
    </xf>
    <xf numFmtId="166" fontId="1" fillId="0" borderId="5" xfId="0" applyNumberFormat="1" applyFont="1" applyBorder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14" xfId="0" applyFont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Curvatura bruta</c:v>
          </c:tx>
          <c:marker>
            <c:symbol val="none"/>
          </c:marker>
          <c:xVal>
            <c:numRef>
              <c:f>biapoyada!$B$29:$B$53</c:f>
              <c:numCache>
                <c:formatCode>0.00</c:formatCode>
                <c:ptCount val="25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</c:numCache>
            </c:numRef>
          </c:xVal>
          <c:yVal>
            <c:numRef>
              <c:f>biapoyada!$F$29:$F$53</c:f>
              <c:numCache>
                <c:formatCode>General</c:formatCode>
                <c:ptCount val="25"/>
                <c:pt idx="0">
                  <c:v>0</c:v>
                </c:pt>
                <c:pt idx="1">
                  <c:v>2.6480263157894731E-4</c:v>
                </c:pt>
                <c:pt idx="2">
                  <c:v>5.0657894736842095E-4</c:v>
                </c:pt>
                <c:pt idx="3">
                  <c:v>7.2532894736842093E-4</c:v>
                </c:pt>
                <c:pt idx="4">
                  <c:v>9.2105263157894724E-4</c:v>
                </c:pt>
                <c:pt idx="5">
                  <c:v>1.0937499999999999E-3</c:v>
                </c:pt>
                <c:pt idx="6">
                  <c:v>1.2434210526315788E-3</c:v>
                </c:pt>
                <c:pt idx="7">
                  <c:v>1.3700657894736839E-3</c:v>
                </c:pt>
                <c:pt idx="8">
                  <c:v>1.4736842105263154E-3</c:v>
                </c:pt>
                <c:pt idx="9">
                  <c:v>1.5542763157894734E-3</c:v>
                </c:pt>
                <c:pt idx="10">
                  <c:v>1.6118421052631576E-3</c:v>
                </c:pt>
                <c:pt idx="11">
                  <c:v>1.6463815789473681E-3</c:v>
                </c:pt>
                <c:pt idx="12">
                  <c:v>1.6578947368421049E-3</c:v>
                </c:pt>
                <c:pt idx="13">
                  <c:v>1.6463815789473681E-3</c:v>
                </c:pt>
                <c:pt idx="14">
                  <c:v>1.6118421052631576E-3</c:v>
                </c:pt>
                <c:pt idx="15">
                  <c:v>1.5542763157894734E-3</c:v>
                </c:pt>
                <c:pt idx="16">
                  <c:v>1.4736842105263154E-3</c:v>
                </c:pt>
                <c:pt idx="17">
                  <c:v>1.3700657894736839E-3</c:v>
                </c:pt>
                <c:pt idx="18">
                  <c:v>1.2434210526315788E-3</c:v>
                </c:pt>
                <c:pt idx="19">
                  <c:v>1.0937499999999999E-3</c:v>
                </c:pt>
                <c:pt idx="20">
                  <c:v>9.2105263157894724E-4</c:v>
                </c:pt>
                <c:pt idx="21">
                  <c:v>7.2532894736842093E-4</c:v>
                </c:pt>
                <c:pt idx="22">
                  <c:v>5.0657894736842095E-4</c:v>
                </c:pt>
                <c:pt idx="23">
                  <c:v>2.6480263157894731E-4</c:v>
                </c:pt>
                <c:pt idx="24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v>Curvatura fisurada</c:v>
          </c:tx>
          <c:marker>
            <c:symbol val="none"/>
          </c:marker>
          <c:xVal>
            <c:numRef>
              <c:f>biapoyada!$B$29:$B$53</c:f>
              <c:numCache>
                <c:formatCode>0.00</c:formatCode>
                <c:ptCount val="25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</c:numCache>
            </c:numRef>
          </c:xVal>
          <c:yVal>
            <c:numRef>
              <c:f>biapoyada!$G$29:$G$53</c:f>
              <c:numCache>
                <c:formatCode>General</c:formatCode>
                <c:ptCount val="25"/>
                <c:pt idx="0">
                  <c:v>0</c:v>
                </c:pt>
                <c:pt idx="1">
                  <c:v>8.2632787393361056E-4</c:v>
                </c:pt>
                <c:pt idx="2">
                  <c:v>1.5808011501338636E-3</c:v>
                </c:pt>
                <c:pt idx="3">
                  <c:v>2.2634198286007592E-3</c:v>
                </c:pt>
                <c:pt idx="4">
                  <c:v>2.8741839093342973E-3</c:v>
                </c:pt>
                <c:pt idx="5">
                  <c:v>3.4130933923344781E-3</c:v>
                </c:pt>
                <c:pt idx="6">
                  <c:v>3.8801482776013017E-3</c:v>
                </c:pt>
                <c:pt idx="7">
                  <c:v>4.2753485651347671E-3</c:v>
                </c:pt>
                <c:pt idx="8">
                  <c:v>4.5986942549348757E-3</c:v>
                </c:pt>
                <c:pt idx="9">
                  <c:v>4.850185347001627E-3</c:v>
                </c:pt>
                <c:pt idx="10">
                  <c:v>5.0298218413350202E-3</c:v>
                </c:pt>
                <c:pt idx="11">
                  <c:v>5.1376037379350569E-3</c:v>
                </c:pt>
                <c:pt idx="12">
                  <c:v>5.1735310368017356E-3</c:v>
                </c:pt>
                <c:pt idx="13">
                  <c:v>5.1376037379350569E-3</c:v>
                </c:pt>
                <c:pt idx="14">
                  <c:v>5.0298218413350202E-3</c:v>
                </c:pt>
                <c:pt idx="15">
                  <c:v>4.850185347001627E-3</c:v>
                </c:pt>
                <c:pt idx="16">
                  <c:v>4.5986942549348757E-3</c:v>
                </c:pt>
                <c:pt idx="17">
                  <c:v>4.2753485651347671E-3</c:v>
                </c:pt>
                <c:pt idx="18">
                  <c:v>3.8801482776013017E-3</c:v>
                </c:pt>
                <c:pt idx="19">
                  <c:v>3.4130933923344781E-3</c:v>
                </c:pt>
                <c:pt idx="20">
                  <c:v>2.8741839093342973E-3</c:v>
                </c:pt>
                <c:pt idx="21">
                  <c:v>2.2634198286007592E-3</c:v>
                </c:pt>
                <c:pt idx="22">
                  <c:v>1.5808011501338636E-3</c:v>
                </c:pt>
                <c:pt idx="23">
                  <c:v>8.2632787393361056E-4</c:v>
                </c:pt>
                <c:pt idx="24">
                  <c:v>0</c:v>
                </c:pt>
              </c:numCache>
            </c:numRef>
          </c:yVal>
          <c:smooth val="1"/>
        </c:ser>
        <c:ser>
          <c:idx val="2"/>
          <c:order val="2"/>
          <c:tx>
            <c:v>Curvatura equivalente</c:v>
          </c:tx>
          <c:marker>
            <c:symbol val="none"/>
          </c:marker>
          <c:xVal>
            <c:numRef>
              <c:f>biapoyada!$B$29:$B$53</c:f>
              <c:numCache>
                <c:formatCode>0.00</c:formatCode>
                <c:ptCount val="25"/>
                <c:pt idx="0">
                  <c:v>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</c:v>
                </c:pt>
              </c:numCache>
            </c:numRef>
          </c:xVal>
          <c:yVal>
            <c:numRef>
              <c:f>biapoyada!$H$29:$H$53</c:f>
              <c:numCache>
                <c:formatCode>General</c:formatCode>
                <c:ptCount val="25"/>
                <c:pt idx="0">
                  <c:v>0</c:v>
                </c:pt>
                <c:pt idx="1">
                  <c:v>2.6480263157894731E-4</c:v>
                </c:pt>
                <c:pt idx="2">
                  <c:v>1.1781766855378315E-3</c:v>
                </c:pt>
                <c:pt idx="3">
                  <c:v>1.9822217898352768E-3</c:v>
                </c:pt>
                <c:pt idx="4">
                  <c:v>2.6527404538064796E-3</c:v>
                </c:pt>
                <c:pt idx="5">
                  <c:v>3.2266146929426317E-3</c:v>
                </c:pt>
                <c:pt idx="6">
                  <c:v>3.7161160883214367E-3</c:v>
                </c:pt>
                <c:pt idx="7">
                  <c:v>4.1264790152000996E-3</c:v>
                </c:pt>
                <c:pt idx="8">
                  <c:v>4.4602920952299899E-3</c:v>
                </c:pt>
                <c:pt idx="9">
                  <c:v>4.7189595955777356E-3</c:v>
                </c:pt>
                <c:pt idx="10">
                  <c:v>4.9032827238905527E-3</c:v>
                </c:pt>
                <c:pt idx="11">
                  <c:v>5.0137192872901238E-3</c:v>
                </c:pt>
                <c:pt idx="12">
                  <c:v>5.0505068948418367E-3</c:v>
                </c:pt>
                <c:pt idx="13">
                  <c:v>5.0137192872901238E-3</c:v>
                </c:pt>
                <c:pt idx="14">
                  <c:v>4.9032827238905527E-3</c:v>
                </c:pt>
                <c:pt idx="15">
                  <c:v>4.7189595955777356E-3</c:v>
                </c:pt>
                <c:pt idx="16">
                  <c:v>4.4602920952299899E-3</c:v>
                </c:pt>
                <c:pt idx="17">
                  <c:v>4.1264790152000996E-3</c:v>
                </c:pt>
                <c:pt idx="18">
                  <c:v>3.7161160883214367E-3</c:v>
                </c:pt>
                <c:pt idx="19">
                  <c:v>3.2266146929426317E-3</c:v>
                </c:pt>
                <c:pt idx="20">
                  <c:v>2.6527404538064796E-3</c:v>
                </c:pt>
                <c:pt idx="21">
                  <c:v>1.9822217898352768E-3</c:v>
                </c:pt>
                <c:pt idx="22">
                  <c:v>1.1781766855378315E-3</c:v>
                </c:pt>
                <c:pt idx="23">
                  <c:v>2.6480263157894731E-4</c:v>
                </c:pt>
                <c:pt idx="24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197888"/>
        <c:axId val="147197312"/>
      </c:scatterChart>
      <c:valAx>
        <c:axId val="147197888"/>
        <c:scaling>
          <c:orientation val="minMax"/>
        </c:scaling>
        <c:delete val="0"/>
        <c:axPos val="t"/>
        <c:numFmt formatCode="0.00" sourceLinked="1"/>
        <c:majorTickMark val="out"/>
        <c:minorTickMark val="none"/>
        <c:tickLblPos val="nextTo"/>
        <c:crossAx val="147197312"/>
        <c:crosses val="autoZero"/>
        <c:crossBetween val="midCat"/>
      </c:valAx>
      <c:valAx>
        <c:axId val="147197312"/>
        <c:scaling>
          <c:orientation val="maxMin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71978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141861</xdr:colOff>
      <xdr:row>2</xdr:row>
      <xdr:rowOff>1416</xdr:rowOff>
    </xdr:from>
    <xdr:to>
      <xdr:col>14</xdr:col>
      <xdr:colOff>638378</xdr:colOff>
      <xdr:row>17</xdr:row>
      <xdr:rowOff>151994</xdr:rowOff>
    </xdr:to>
    <xdr:graphicFrame macro="">
      <xdr:nvGraphicFramePr>
        <xdr:cNvPr id="4" name="3 Gráfico" title="CURVATURAS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3"/>
  <sheetViews>
    <sheetView showGridLines="0" tabSelected="1" zoomScale="94" zoomScaleNormal="94" workbookViewId="0"/>
  </sheetViews>
  <sheetFormatPr baseColWidth="10" defaultRowHeight="13.9" x14ac:dyDescent="0.45"/>
  <cols>
    <col min="1" max="1" width="4" style="4" customWidth="1"/>
    <col min="2" max="3" width="10.46484375" style="4" customWidth="1"/>
    <col min="4" max="5" width="8.46484375" style="4" customWidth="1"/>
    <col min="6" max="6" width="10.3984375" style="4" customWidth="1"/>
    <col min="7" max="9" width="11.796875" style="4" bestFit="1" customWidth="1"/>
    <col min="10" max="10" width="8.86328125" style="4" bestFit="1" customWidth="1"/>
    <col min="11" max="11" width="11.796875" style="4" bestFit="1" customWidth="1"/>
    <col min="12" max="12" width="11.1328125" style="4" customWidth="1"/>
    <col min="13" max="15" width="13" style="4" bestFit="1" customWidth="1"/>
    <col min="16" max="18" width="11.796875" style="4" bestFit="1" customWidth="1"/>
    <col min="19" max="16384" width="10.6640625" style="4"/>
  </cols>
  <sheetData>
    <row r="1" spans="2:8" ht="27.75" x14ac:dyDescent="0.45">
      <c r="B1" s="3" t="s">
        <v>21</v>
      </c>
    </row>
    <row r="2" spans="2:8" x14ac:dyDescent="0.45">
      <c r="B2" s="4" t="s">
        <v>10</v>
      </c>
    </row>
    <row r="3" spans="2:8" x14ac:dyDescent="0.45">
      <c r="B3" s="4" t="s">
        <v>54</v>
      </c>
    </row>
    <row r="5" spans="2:8" ht="17.649999999999999" x14ac:dyDescent="0.45">
      <c r="B5" s="5" t="s">
        <v>23</v>
      </c>
      <c r="C5" s="5"/>
    </row>
    <row r="6" spans="2:8" x14ac:dyDescent="0.45">
      <c r="B6" s="6" t="s">
        <v>11</v>
      </c>
      <c r="C6" s="1">
        <v>0.5</v>
      </c>
      <c r="D6" s="4" t="s">
        <v>9</v>
      </c>
    </row>
    <row r="7" spans="2:8" x14ac:dyDescent="0.45">
      <c r="B7" s="6" t="s">
        <v>12</v>
      </c>
      <c r="C7" s="1">
        <v>0.4</v>
      </c>
      <c r="D7" s="4" t="s">
        <v>9</v>
      </c>
    </row>
    <row r="8" spans="2:8" x14ac:dyDescent="0.45">
      <c r="B8" s="6" t="s">
        <v>13</v>
      </c>
      <c r="C8" s="2">
        <f>5*PI()</f>
        <v>15.707963267948966</v>
      </c>
      <c r="D8" s="4" t="s">
        <v>16</v>
      </c>
      <c r="E8" s="7" t="s">
        <v>14</v>
      </c>
      <c r="F8" s="8"/>
      <c r="G8" s="8"/>
      <c r="H8" s="9"/>
    </row>
    <row r="9" spans="2:8" x14ac:dyDescent="0.45">
      <c r="B9" s="6" t="s">
        <v>15</v>
      </c>
      <c r="C9" s="1">
        <v>6</v>
      </c>
      <c r="D9" s="4" t="s">
        <v>9</v>
      </c>
      <c r="E9" s="10"/>
    </row>
    <row r="10" spans="2:8" x14ac:dyDescent="0.45">
      <c r="B10" s="6" t="s">
        <v>18</v>
      </c>
      <c r="C10" s="1">
        <v>28</v>
      </c>
      <c r="D10" s="4" t="s">
        <v>2</v>
      </c>
      <c r="E10" s="10"/>
    </row>
    <row r="11" spans="2:8" x14ac:dyDescent="0.45">
      <c r="B11" s="6" t="s">
        <v>6</v>
      </c>
      <c r="C11" s="1">
        <v>28500</v>
      </c>
      <c r="D11" s="4" t="s">
        <v>20</v>
      </c>
      <c r="E11" s="10"/>
    </row>
    <row r="12" spans="2:8" x14ac:dyDescent="0.45">
      <c r="B12" s="6" t="s">
        <v>17</v>
      </c>
      <c r="C12" s="1">
        <v>25</v>
      </c>
      <c r="D12" s="4" t="s">
        <v>20</v>
      </c>
      <c r="E12" s="10"/>
    </row>
    <row r="13" spans="2:8" x14ac:dyDescent="0.45">
      <c r="E13" s="10"/>
    </row>
    <row r="14" spans="2:8" x14ac:dyDescent="0.45">
      <c r="B14" s="4" t="s">
        <v>29</v>
      </c>
      <c r="E14" s="10"/>
    </row>
    <row r="15" spans="2:8" x14ac:dyDescent="0.45">
      <c r="B15" s="11" t="s">
        <v>19</v>
      </c>
      <c r="C15" s="11">
        <f>+C12/10</f>
        <v>2.5</v>
      </c>
      <c r="D15" s="4" t="s">
        <v>20</v>
      </c>
      <c r="E15" s="7" t="s">
        <v>30</v>
      </c>
      <c r="F15" s="9"/>
      <c r="G15" s="12"/>
    </row>
    <row r="16" spans="2:8" x14ac:dyDescent="0.45">
      <c r="B16" s="11" t="s">
        <v>24</v>
      </c>
      <c r="C16" s="11">
        <f>+C10*C9/2</f>
        <v>84</v>
      </c>
      <c r="D16" s="4" t="s">
        <v>2</v>
      </c>
    </row>
    <row r="17" spans="2:15" x14ac:dyDescent="0.45">
      <c r="B17" s="11" t="s">
        <v>3</v>
      </c>
      <c r="C17" s="13">
        <f>+C15*C6*C7^2/6*1000</f>
        <v>33.333333333333343</v>
      </c>
      <c r="D17" s="4" t="s">
        <v>52</v>
      </c>
    </row>
    <row r="18" spans="2:15" x14ac:dyDescent="0.45">
      <c r="B18" s="11" t="s">
        <v>4</v>
      </c>
      <c r="C18" s="14">
        <f>1/12*C6*C7^3*100000000</f>
        <v>266666.66666666669</v>
      </c>
      <c r="D18" s="4" t="s">
        <v>5</v>
      </c>
    </row>
    <row r="19" spans="2:15" x14ac:dyDescent="0.45">
      <c r="B19" s="11" t="s">
        <v>25</v>
      </c>
      <c r="C19" s="14">
        <f>200000/C11*C8</f>
        <v>110.23132117858923</v>
      </c>
      <c r="D19" s="4" t="s">
        <v>16</v>
      </c>
    </row>
    <row r="20" spans="2:15" ht="20.25" x14ac:dyDescent="0.45">
      <c r="B20" s="11" t="s">
        <v>22</v>
      </c>
      <c r="C20" s="15">
        <f>(-H20+SQRT(H20^2-4*F20*J20))/2/F20</f>
        <v>0.10412196762854181</v>
      </c>
      <c r="D20" s="4" t="s">
        <v>9</v>
      </c>
      <c r="E20" s="16" t="s">
        <v>28</v>
      </c>
      <c r="F20" s="17">
        <f>+C6/2</f>
        <v>0.25</v>
      </c>
      <c r="G20" s="16" t="s">
        <v>27</v>
      </c>
      <c r="H20" s="18">
        <f>C19/10000</f>
        <v>1.1023132117858922E-2</v>
      </c>
      <c r="I20" s="19" t="s">
        <v>26</v>
      </c>
      <c r="J20" s="20">
        <f>-H20*(C7-0.05)</f>
        <v>-3.8580962412506229E-3</v>
      </c>
      <c r="L20" s="21" t="s">
        <v>8</v>
      </c>
      <c r="M20" s="22">
        <f>+N43</f>
        <v>1.8616939590931615E-2</v>
      </c>
      <c r="N20" s="23" t="s">
        <v>9</v>
      </c>
    </row>
    <row r="21" spans="2:15" x14ac:dyDescent="0.45">
      <c r="B21" s="11" t="s">
        <v>33</v>
      </c>
      <c r="C21" s="14">
        <f>100000000*(C6*C20^3/3+C19/10000*(C7-0.05-C20)^2)</f>
        <v>85455.22584343153</v>
      </c>
      <c r="D21" s="4" t="s">
        <v>5</v>
      </c>
    </row>
    <row r="22" spans="2:15" x14ac:dyDescent="0.45">
      <c r="B22" s="11" t="s">
        <v>31</v>
      </c>
      <c r="C22" s="11">
        <f>+C11*C18/100000</f>
        <v>76000.000000000015</v>
      </c>
      <c r="D22" s="4" t="s">
        <v>53</v>
      </c>
    </row>
    <row r="23" spans="2:15" x14ac:dyDescent="0.45">
      <c r="B23" s="11" t="s">
        <v>32</v>
      </c>
      <c r="C23" s="14">
        <f>+C11*C21/100000</f>
        <v>24354.739365377984</v>
      </c>
      <c r="D23" s="4" t="s">
        <v>53</v>
      </c>
    </row>
    <row r="24" spans="2:15" x14ac:dyDescent="0.45">
      <c r="B24" s="12"/>
      <c r="C24" s="24"/>
    </row>
    <row r="26" spans="2:15" ht="27" customHeight="1" x14ac:dyDescent="0.45">
      <c r="D26" s="25" t="s">
        <v>44</v>
      </c>
      <c r="E26" s="26"/>
      <c r="F26" s="27" t="s">
        <v>35</v>
      </c>
      <c r="G26" s="28"/>
      <c r="H26" s="28"/>
      <c r="I26" s="29"/>
      <c r="J26" s="27" t="s">
        <v>46</v>
      </c>
      <c r="K26" s="28"/>
      <c r="L26" s="28"/>
      <c r="M26" s="28"/>
      <c r="N26" s="28"/>
      <c r="O26" s="29"/>
    </row>
    <row r="27" spans="2:15" s="37" customFormat="1" ht="41.65" x14ac:dyDescent="0.45">
      <c r="B27" s="30" t="s">
        <v>1</v>
      </c>
      <c r="C27" s="31" t="s">
        <v>0</v>
      </c>
      <c r="D27" s="32" t="s">
        <v>11</v>
      </c>
      <c r="E27" s="33" t="s">
        <v>41</v>
      </c>
      <c r="F27" s="32" t="s">
        <v>36</v>
      </c>
      <c r="G27" s="31" t="s">
        <v>37</v>
      </c>
      <c r="H27" s="33" t="s">
        <v>40</v>
      </c>
      <c r="I27" s="34" t="s">
        <v>42</v>
      </c>
      <c r="J27" s="32" t="s">
        <v>7</v>
      </c>
      <c r="K27" s="35" t="s">
        <v>43</v>
      </c>
      <c r="L27" s="36" t="s">
        <v>47</v>
      </c>
      <c r="M27" s="35" t="s">
        <v>49</v>
      </c>
      <c r="N27" s="36" t="s">
        <v>50</v>
      </c>
      <c r="O27" s="35" t="s">
        <v>51</v>
      </c>
    </row>
    <row r="28" spans="2:15" s="37" customFormat="1" x14ac:dyDescent="0.45">
      <c r="B28" s="38" t="s">
        <v>45</v>
      </c>
      <c r="C28" s="39" t="s">
        <v>38</v>
      </c>
      <c r="D28" s="40" t="s">
        <v>34</v>
      </c>
      <c r="E28" s="41"/>
      <c r="F28" s="40" t="s">
        <v>39</v>
      </c>
      <c r="G28" s="42"/>
      <c r="H28" s="41"/>
      <c r="I28" s="38" t="s">
        <v>39</v>
      </c>
      <c r="J28" s="43" t="s">
        <v>45</v>
      </c>
      <c r="K28" s="44" t="s">
        <v>45</v>
      </c>
      <c r="L28" s="43" t="s">
        <v>48</v>
      </c>
      <c r="M28" s="44" t="s">
        <v>48</v>
      </c>
      <c r="N28" s="43" t="s">
        <v>45</v>
      </c>
      <c r="O28" s="44" t="s">
        <v>45</v>
      </c>
    </row>
    <row r="29" spans="2:15" x14ac:dyDescent="0.45">
      <c r="B29" s="45">
        <v>0</v>
      </c>
      <c r="C29" s="46">
        <f>+$C$16*B29-$C$10*B29^2/2</f>
        <v>0</v>
      </c>
      <c r="D29" s="47">
        <v>1</v>
      </c>
      <c r="E29" s="48">
        <v>0</v>
      </c>
      <c r="F29" s="49">
        <f>+$C29/$C$22</f>
        <v>0</v>
      </c>
      <c r="G29" s="50">
        <f>+$C29/$C$23</f>
        <v>0</v>
      </c>
      <c r="H29" s="51">
        <f>+F29*D29+G29*E29</f>
        <v>0</v>
      </c>
      <c r="I29" s="52"/>
      <c r="J29" s="53"/>
      <c r="K29" s="54"/>
      <c r="L29" s="53"/>
      <c r="M29" s="54"/>
      <c r="N29" s="53"/>
      <c r="O29" s="54"/>
    </row>
    <row r="30" spans="2:15" x14ac:dyDescent="0.45">
      <c r="B30" s="45">
        <f>+B29+B$41/12</f>
        <v>0.25</v>
      </c>
      <c r="C30" s="46">
        <f>+$C$16*B30-$C$10*B30^2/2</f>
        <v>20.125</v>
      </c>
      <c r="D30" s="47">
        <f>MIN(1,0.5*($C$17/C30)^2)</f>
        <v>1</v>
      </c>
      <c r="E30" s="48">
        <f t="shared" ref="E30:E53" si="0">1-D30</f>
        <v>0</v>
      </c>
      <c r="F30" s="53">
        <f>+$C30/$C$22</f>
        <v>2.6480263157894731E-4</v>
      </c>
      <c r="G30" s="12">
        <f>+$C30/$C$23</f>
        <v>8.2632787393361056E-4</v>
      </c>
      <c r="H30" s="54">
        <f>+F30*D30+G30*E30</f>
        <v>2.6480263157894731E-4</v>
      </c>
      <c r="I30" s="52">
        <f>+(H30+H29)/2</f>
        <v>1.3240131578947365E-4</v>
      </c>
      <c r="J30" s="53">
        <f>+B30-B29</f>
        <v>0.25</v>
      </c>
      <c r="K30" s="54">
        <f>+$C$9/2-B30+$B$30/2</f>
        <v>2.875</v>
      </c>
      <c r="L30" s="55">
        <f>+J30*I30</f>
        <v>3.3100328947368413E-5</v>
      </c>
      <c r="M30" s="56">
        <f>+L30+M29</f>
        <v>3.3100328947368413E-5</v>
      </c>
      <c r="N30" s="55">
        <f>+J30*I30*K30</f>
        <v>9.5163445723684195E-5</v>
      </c>
      <c r="O30" s="56">
        <f>+N30+O29</f>
        <v>9.5163445723684195E-5</v>
      </c>
    </row>
    <row r="31" spans="2:15" x14ac:dyDescent="0.45">
      <c r="B31" s="45">
        <f t="shared" ref="B31:B53" si="1">+B30+B$41/12</f>
        <v>0.5</v>
      </c>
      <c r="C31" s="46">
        <f>+$C$16*B31-$C$10*B31^2/2</f>
        <v>38.5</v>
      </c>
      <c r="D31" s="47">
        <f>MIN(1,0.5*($C$17/C31)^2)</f>
        <v>0.37480556961076461</v>
      </c>
      <c r="E31" s="48">
        <f t="shared" si="0"/>
        <v>0.62519443038923539</v>
      </c>
      <c r="F31" s="53">
        <f t="shared" ref="F31:F53" si="2">+$C31/$C$22</f>
        <v>5.0657894736842095E-4</v>
      </c>
      <c r="G31" s="12">
        <f t="shared" ref="G31:G53" si="3">+$C31/$C$23</f>
        <v>1.5808011501338636E-3</v>
      </c>
      <c r="H31" s="54">
        <f>+F31*D31+G31*E31</f>
        <v>1.1781766855378315E-3</v>
      </c>
      <c r="I31" s="52">
        <f>+(H31+H30)/2</f>
        <v>7.2148965855838942E-4</v>
      </c>
      <c r="J31" s="53">
        <f>+B31-B30</f>
        <v>0.25</v>
      </c>
      <c r="K31" s="54">
        <f>+$C$9/2-B31+$B$30/2</f>
        <v>2.625</v>
      </c>
      <c r="L31" s="55">
        <f>+J31*I31</f>
        <v>1.8037241463959736E-4</v>
      </c>
      <c r="M31" s="56">
        <f t="shared" ref="M31:O41" si="4">+L31+M30</f>
        <v>2.1347274358696577E-4</v>
      </c>
      <c r="N31" s="55">
        <f>+J31*I31*K31</f>
        <v>4.7347758842894308E-4</v>
      </c>
      <c r="O31" s="56">
        <f t="shared" si="4"/>
        <v>5.6864103415262728E-4</v>
      </c>
    </row>
    <row r="32" spans="2:15" x14ac:dyDescent="0.45">
      <c r="B32" s="45">
        <f t="shared" si="1"/>
        <v>0.75</v>
      </c>
      <c r="C32" s="46">
        <f>+$C$16*B32-$C$10*B32^2/2</f>
        <v>55.125</v>
      </c>
      <c r="D32" s="47">
        <f>MIN(1,0.5*($C$17/C32)^2)</f>
        <v>0.18282277217597387</v>
      </c>
      <c r="E32" s="48">
        <f t="shared" si="0"/>
        <v>0.81717722782402613</v>
      </c>
      <c r="F32" s="53">
        <f t="shared" si="2"/>
        <v>7.2532894736842093E-4</v>
      </c>
      <c r="G32" s="12">
        <f t="shared" si="3"/>
        <v>2.2634198286007592E-3</v>
      </c>
      <c r="H32" s="54">
        <f>+F32*D32+G32*E32</f>
        <v>1.9822217898352768E-3</v>
      </c>
      <c r="I32" s="52">
        <f>+(H32+H31)/2</f>
        <v>1.580199237686554E-3</v>
      </c>
      <c r="J32" s="53">
        <f>+B32-B31</f>
        <v>0.25</v>
      </c>
      <c r="K32" s="54">
        <f>+$C$9/2-B32+$B$30/2</f>
        <v>2.375</v>
      </c>
      <c r="L32" s="55">
        <f>+J32*I32</f>
        <v>3.9504980942163851E-4</v>
      </c>
      <c r="M32" s="56">
        <f t="shared" si="4"/>
        <v>6.0852255300860431E-4</v>
      </c>
      <c r="N32" s="55">
        <f>+J32*I32*K32</f>
        <v>9.3824329737639148E-4</v>
      </c>
      <c r="O32" s="56">
        <f t="shared" si="4"/>
        <v>1.5068843315290186E-3</v>
      </c>
    </row>
    <row r="33" spans="2:15" x14ac:dyDescent="0.45">
      <c r="B33" s="45">
        <f t="shared" si="1"/>
        <v>1</v>
      </c>
      <c r="C33" s="46">
        <f>+$C$16*B33-$C$10*B33^2/2</f>
        <v>70</v>
      </c>
      <c r="D33" s="47">
        <f>MIN(1,0.5*($C$17/C33)^2)</f>
        <v>0.1133786848072563</v>
      </c>
      <c r="E33" s="48">
        <f t="shared" si="0"/>
        <v>0.88662131519274368</v>
      </c>
      <c r="F33" s="53">
        <f t="shared" si="2"/>
        <v>9.2105263157894724E-4</v>
      </c>
      <c r="G33" s="12">
        <f t="shared" si="3"/>
        <v>2.8741839093342973E-3</v>
      </c>
      <c r="H33" s="54">
        <f>+F33*D33+G33*E33</f>
        <v>2.6527404538064796E-3</v>
      </c>
      <c r="I33" s="52">
        <f>+(H33+H32)/2</f>
        <v>2.3174811218208782E-3</v>
      </c>
      <c r="J33" s="53">
        <f>+B33-B32</f>
        <v>0.25</v>
      </c>
      <c r="K33" s="54">
        <f>+$C$9/2-B33+$B$30/2</f>
        <v>2.125</v>
      </c>
      <c r="L33" s="55">
        <f>+J33*I33</f>
        <v>5.7937028045521954E-4</v>
      </c>
      <c r="M33" s="56">
        <f t="shared" si="4"/>
        <v>1.1878928334638239E-3</v>
      </c>
      <c r="N33" s="55">
        <f>+J33*I33*K33</f>
        <v>1.2311618459673415E-3</v>
      </c>
      <c r="O33" s="56">
        <f t="shared" si="4"/>
        <v>2.7380461774963601E-3</v>
      </c>
    </row>
    <row r="34" spans="2:15" x14ac:dyDescent="0.45">
      <c r="B34" s="45">
        <f t="shared" si="1"/>
        <v>1.25</v>
      </c>
      <c r="C34" s="46">
        <f>+$C$16*B34-$C$10*B34^2/2</f>
        <v>83.125</v>
      </c>
      <c r="D34" s="47">
        <f>MIN(1,0.5*($C$17/C34)^2)</f>
        <v>8.0401505015672045E-2</v>
      </c>
      <c r="E34" s="48">
        <f t="shared" si="0"/>
        <v>0.919598494984328</v>
      </c>
      <c r="F34" s="53">
        <f t="shared" si="2"/>
        <v>1.0937499999999999E-3</v>
      </c>
      <c r="G34" s="12">
        <f t="shared" si="3"/>
        <v>3.4130933923344781E-3</v>
      </c>
      <c r="H34" s="54">
        <f>+F34*D34+G34*E34</f>
        <v>3.2266146929426317E-3</v>
      </c>
      <c r="I34" s="52">
        <f>+(H34+H33)/2</f>
        <v>2.9396775733745556E-3</v>
      </c>
      <c r="J34" s="53">
        <f>+B34-B33</f>
        <v>0.25</v>
      </c>
      <c r="K34" s="54">
        <f>+$C$9/2-B34+$B$30/2</f>
        <v>1.875</v>
      </c>
      <c r="L34" s="55">
        <f>+J34*I34</f>
        <v>7.3491939334363891E-4</v>
      </c>
      <c r="M34" s="56">
        <f t="shared" si="4"/>
        <v>1.9228122268074629E-3</v>
      </c>
      <c r="N34" s="55">
        <f>+J34*I34*K34</f>
        <v>1.3779738625193229E-3</v>
      </c>
      <c r="O34" s="56">
        <f t="shared" si="4"/>
        <v>4.1160200400156832E-3</v>
      </c>
    </row>
    <row r="35" spans="2:15" x14ac:dyDescent="0.45">
      <c r="B35" s="45">
        <f t="shared" si="1"/>
        <v>1.5</v>
      </c>
      <c r="C35" s="46">
        <f>+$C$16*B35-$C$10*B35^2/2</f>
        <v>94.5</v>
      </c>
      <c r="D35" s="47">
        <f>MIN(1,0.5*($C$17/C35)^2)</f>
        <v>6.2210526643213332E-2</v>
      </c>
      <c r="E35" s="48">
        <f t="shared" si="0"/>
        <v>0.93778947335678664</v>
      </c>
      <c r="F35" s="53">
        <f t="shared" si="2"/>
        <v>1.2434210526315788E-3</v>
      </c>
      <c r="G35" s="12">
        <f t="shared" si="3"/>
        <v>3.8801482776013017E-3</v>
      </c>
      <c r="H35" s="54">
        <f>+F35*D35+G35*E35</f>
        <v>3.7161160883214367E-3</v>
      </c>
      <c r="I35" s="52">
        <f>+(H35+H34)/2</f>
        <v>3.4713653906320342E-3</v>
      </c>
      <c r="J35" s="53">
        <f>+B35-B34</f>
        <v>0.25</v>
      </c>
      <c r="K35" s="54">
        <f>+$C$9/2-B35+$B$30/2</f>
        <v>1.625</v>
      </c>
      <c r="L35" s="55">
        <f>+J35*I35</f>
        <v>8.6784134765800856E-4</v>
      </c>
      <c r="M35" s="56">
        <f t="shared" si="4"/>
        <v>2.7906535744654714E-3</v>
      </c>
      <c r="N35" s="55">
        <f>+J35*I35*K35</f>
        <v>1.4102421899442638E-3</v>
      </c>
      <c r="O35" s="56">
        <f t="shared" si="4"/>
        <v>5.5262622299599475E-3</v>
      </c>
    </row>
    <row r="36" spans="2:15" x14ac:dyDescent="0.45">
      <c r="B36" s="45">
        <f t="shared" si="1"/>
        <v>1.75</v>
      </c>
      <c r="C36" s="46">
        <f>+$C$16*B36-$C$10*B36^2/2</f>
        <v>104.125</v>
      </c>
      <c r="D36" s="47">
        <f>MIN(1,0.5*($C$17/C36)^2)</f>
        <v>5.1240984589113782E-2</v>
      </c>
      <c r="E36" s="48">
        <f t="shared" si="0"/>
        <v>0.94875901541088625</v>
      </c>
      <c r="F36" s="53">
        <f t="shared" si="2"/>
        <v>1.3700657894736839E-3</v>
      </c>
      <c r="G36" s="12">
        <f t="shared" si="3"/>
        <v>4.2753485651347671E-3</v>
      </c>
      <c r="H36" s="54">
        <f>+F36*D36+G36*E36</f>
        <v>4.1264790152000996E-3</v>
      </c>
      <c r="I36" s="52">
        <f>+(H36+H35)/2</f>
        <v>3.921297551760768E-3</v>
      </c>
      <c r="J36" s="53">
        <f>+B36-B35</f>
        <v>0.25</v>
      </c>
      <c r="K36" s="54">
        <f>+$C$9/2-B36+$B$30/2</f>
        <v>1.375</v>
      </c>
      <c r="L36" s="55">
        <f>+J36*I36</f>
        <v>9.8032438794019199E-4</v>
      </c>
      <c r="M36" s="56">
        <f t="shared" si="4"/>
        <v>3.7709779624056634E-3</v>
      </c>
      <c r="N36" s="55">
        <f>+J36*I36*K36</f>
        <v>1.347946033417764E-3</v>
      </c>
      <c r="O36" s="56">
        <f t="shared" si="4"/>
        <v>6.8742082633777117E-3</v>
      </c>
    </row>
    <row r="37" spans="2:15" x14ac:dyDescent="0.45">
      <c r="B37" s="45">
        <f t="shared" si="1"/>
        <v>2</v>
      </c>
      <c r="C37" s="46">
        <f>+$C$16*B37-$C$10*B37^2/2</f>
        <v>112</v>
      </c>
      <c r="D37" s="47">
        <f>MIN(1,0.5*($C$17/C37)^2)</f>
        <v>4.42885487528345E-2</v>
      </c>
      <c r="E37" s="48">
        <f t="shared" si="0"/>
        <v>0.9557114512471655</v>
      </c>
      <c r="F37" s="53">
        <f t="shared" si="2"/>
        <v>1.4736842105263154E-3</v>
      </c>
      <c r="G37" s="12">
        <f t="shared" si="3"/>
        <v>4.5986942549348757E-3</v>
      </c>
      <c r="H37" s="54">
        <f>+F37*D37+G37*E37</f>
        <v>4.4602920952299899E-3</v>
      </c>
      <c r="I37" s="52">
        <f>+(H37+H36)/2</f>
        <v>4.2933855552150443E-3</v>
      </c>
      <c r="J37" s="53">
        <f>+B37-B36</f>
        <v>0.25</v>
      </c>
      <c r="K37" s="54">
        <f>+$C$9/2-B37+$B$30/2</f>
        <v>1.125</v>
      </c>
      <c r="L37" s="55">
        <f>+J37*I37</f>
        <v>1.0733463888037611E-3</v>
      </c>
      <c r="M37" s="56">
        <f t="shared" si="4"/>
        <v>4.8443243512094249E-3</v>
      </c>
      <c r="N37" s="55">
        <f>+J37*I37*K37</f>
        <v>1.2075146874042312E-3</v>
      </c>
      <c r="O37" s="56">
        <f t="shared" si="4"/>
        <v>8.0817229507819423E-3</v>
      </c>
    </row>
    <row r="38" spans="2:15" x14ac:dyDescent="0.45">
      <c r="B38" s="45">
        <f t="shared" si="1"/>
        <v>2.25</v>
      </c>
      <c r="C38" s="46">
        <f>+$C$16*B38-$C$10*B38^2/2</f>
        <v>118.125</v>
      </c>
      <c r="D38" s="47">
        <f>MIN(1,0.5*($C$17/C38)^2)</f>
        <v>3.9814737051656536E-2</v>
      </c>
      <c r="E38" s="48">
        <f t="shared" si="0"/>
        <v>0.9601852629483435</v>
      </c>
      <c r="F38" s="53">
        <f t="shared" si="2"/>
        <v>1.5542763157894734E-3</v>
      </c>
      <c r="G38" s="12">
        <f t="shared" si="3"/>
        <v>4.850185347001627E-3</v>
      </c>
      <c r="H38" s="54">
        <f>+F38*D38+G38*E38</f>
        <v>4.7189595955777356E-3</v>
      </c>
      <c r="I38" s="52">
        <f>+(H38+H37)/2</f>
        <v>4.5896258454038632E-3</v>
      </c>
      <c r="J38" s="53">
        <f>+B38-B37</f>
        <v>0.25</v>
      </c>
      <c r="K38" s="54">
        <f>+$C$9/2-B38+$B$30/2</f>
        <v>0.875</v>
      </c>
      <c r="L38" s="55">
        <f>+J38*I38</f>
        <v>1.1474064613509658E-3</v>
      </c>
      <c r="M38" s="56">
        <f t="shared" si="4"/>
        <v>5.9917308125603912E-3</v>
      </c>
      <c r="N38" s="55">
        <f>+J38*I38*K38</f>
        <v>1.003980653682095E-3</v>
      </c>
      <c r="O38" s="56">
        <f t="shared" si="4"/>
        <v>9.0857036044640366E-3</v>
      </c>
    </row>
    <row r="39" spans="2:15" x14ac:dyDescent="0.45">
      <c r="B39" s="45">
        <f t="shared" si="1"/>
        <v>2.5</v>
      </c>
      <c r="C39" s="46">
        <f>+$C$16*B39-$C$10*B39^2/2</f>
        <v>122.5</v>
      </c>
      <c r="D39" s="47">
        <f>MIN(1,0.5*($C$17/C39)^2)</f>
        <v>3.7021611365634713E-2</v>
      </c>
      <c r="E39" s="48">
        <f t="shared" si="0"/>
        <v>0.96297838863436525</v>
      </c>
      <c r="F39" s="53">
        <f t="shared" si="2"/>
        <v>1.6118421052631576E-3</v>
      </c>
      <c r="G39" s="12">
        <f t="shared" si="3"/>
        <v>5.0298218413350202E-3</v>
      </c>
      <c r="H39" s="54">
        <f>+F39*D39+G39*E39</f>
        <v>4.9032827238905527E-3</v>
      </c>
      <c r="I39" s="52">
        <f>+(H39+H38)/2</f>
        <v>4.8111211597341441E-3</v>
      </c>
      <c r="J39" s="53">
        <f>+B39-B38</f>
        <v>0.25</v>
      </c>
      <c r="K39" s="54">
        <f>+$C$9/2-B39+$B$30/2</f>
        <v>0.625</v>
      </c>
      <c r="L39" s="55">
        <f>+J39*I39</f>
        <v>1.202780289933536E-3</v>
      </c>
      <c r="M39" s="56">
        <f t="shared" si="4"/>
        <v>7.1945111024939272E-3</v>
      </c>
      <c r="N39" s="55">
        <f>+J39*I39*K39</f>
        <v>7.5173768120846002E-4</v>
      </c>
      <c r="O39" s="56">
        <f t="shared" si="4"/>
        <v>9.8374412856724967E-3</v>
      </c>
    </row>
    <row r="40" spans="2:15" x14ac:dyDescent="0.45">
      <c r="B40" s="45">
        <f t="shared" si="1"/>
        <v>2.75</v>
      </c>
      <c r="C40" s="46">
        <f>+$C$16*B40-$C$10*B40^2/2</f>
        <v>125.125</v>
      </c>
      <c r="D40" s="47">
        <f>MIN(1,0.5*($C$17/C40)^2)</f>
        <v>3.5484550969066476E-2</v>
      </c>
      <c r="E40" s="48">
        <f t="shared" si="0"/>
        <v>0.96451544903093356</v>
      </c>
      <c r="F40" s="53">
        <f t="shared" si="2"/>
        <v>1.6463815789473681E-3</v>
      </c>
      <c r="G40" s="12">
        <f t="shared" si="3"/>
        <v>5.1376037379350569E-3</v>
      </c>
      <c r="H40" s="54">
        <f>+F40*D40+G40*E40</f>
        <v>5.0137192872901238E-3</v>
      </c>
      <c r="I40" s="52">
        <f>+(H40+H39)/2</f>
        <v>4.9585010055903378E-3</v>
      </c>
      <c r="J40" s="53">
        <f>+B40-B39</f>
        <v>0.25</v>
      </c>
      <c r="K40" s="54">
        <f>+$C$9/2-B40+$B$30/2</f>
        <v>0.375</v>
      </c>
      <c r="L40" s="55">
        <f>+J40*I40</f>
        <v>1.2396252513975844E-3</v>
      </c>
      <c r="M40" s="56">
        <f t="shared" si="4"/>
        <v>8.4341363538915116E-3</v>
      </c>
      <c r="N40" s="55">
        <f>+J40*I40*K40</f>
        <v>4.6485946927409417E-4</v>
      </c>
      <c r="O40" s="56">
        <f t="shared" si="4"/>
        <v>1.0302300754946592E-2</v>
      </c>
    </row>
    <row r="41" spans="2:15" x14ac:dyDescent="0.45">
      <c r="B41" s="45">
        <f>+C9/2</f>
        <v>3</v>
      </c>
      <c r="C41" s="46">
        <f>+$C$16*B41-$C$10*B41^2/2</f>
        <v>126</v>
      </c>
      <c r="D41" s="47">
        <f>MIN(1,0.5*($C$17/C41)^2)</f>
        <v>3.4993421236807508E-2</v>
      </c>
      <c r="E41" s="48">
        <f t="shared" si="0"/>
        <v>0.96500657876319251</v>
      </c>
      <c r="F41" s="53">
        <f t="shared" si="2"/>
        <v>1.6578947368421049E-3</v>
      </c>
      <c r="G41" s="12">
        <f t="shared" si="3"/>
        <v>5.1735310368017356E-3</v>
      </c>
      <c r="H41" s="54">
        <f>+F41*D41+G41*E41</f>
        <v>5.0505068948418367E-3</v>
      </c>
      <c r="I41" s="52">
        <f>+(H41+H40)/2</f>
        <v>5.0321130910659807E-3</v>
      </c>
      <c r="J41" s="57">
        <f>+B41-B40</f>
        <v>0.25</v>
      </c>
      <c r="K41" s="58">
        <f>+$C$9/2-B41+$B$30/2</f>
        <v>0.125</v>
      </c>
      <c r="L41" s="59">
        <f>+J41*I41</f>
        <v>1.2580282727664952E-3</v>
      </c>
      <c r="M41" s="60">
        <f t="shared" si="4"/>
        <v>9.6921646266580064E-3</v>
      </c>
      <c r="N41" s="59">
        <f>+J41*I41*K41</f>
        <v>1.572535340958119E-4</v>
      </c>
      <c r="O41" s="60">
        <f t="shared" si="4"/>
        <v>1.0459554289042404E-2</v>
      </c>
    </row>
    <row r="42" spans="2:15" x14ac:dyDescent="0.45">
      <c r="B42" s="45">
        <f t="shared" si="1"/>
        <v>3.25</v>
      </c>
      <c r="C42" s="46">
        <f>+$C$16*B42-$C$10*B42^2/2</f>
        <v>125.125</v>
      </c>
      <c r="D42" s="47">
        <f>MIN(1,0.5*($C$17/C42)^2)</f>
        <v>3.5484550969066476E-2</v>
      </c>
      <c r="E42" s="48">
        <f t="shared" si="0"/>
        <v>0.96451544903093356</v>
      </c>
      <c r="F42" s="53">
        <f t="shared" si="2"/>
        <v>1.6463815789473681E-3</v>
      </c>
      <c r="G42" s="12">
        <f t="shared" si="3"/>
        <v>5.1376037379350569E-3</v>
      </c>
      <c r="H42" s="54">
        <f>+F42*D42+G42*E42</f>
        <v>5.0137192872901238E-3</v>
      </c>
      <c r="I42" s="52">
        <f>+(H42+H41)/2</f>
        <v>5.0321130910659807E-3</v>
      </c>
    </row>
    <row r="43" spans="2:15" x14ac:dyDescent="0.45">
      <c r="B43" s="45">
        <f t="shared" si="1"/>
        <v>3.5</v>
      </c>
      <c r="C43" s="46">
        <f>+$C$16*B43-$C$10*B43^2/2</f>
        <v>122.5</v>
      </c>
      <c r="D43" s="47">
        <f>MIN(1,0.5*($C$17/C43)^2)</f>
        <v>3.7021611365634713E-2</v>
      </c>
      <c r="E43" s="48">
        <f t="shared" si="0"/>
        <v>0.96297838863436525</v>
      </c>
      <c r="F43" s="53">
        <f t="shared" si="2"/>
        <v>1.6118421052631576E-3</v>
      </c>
      <c r="G43" s="12">
        <f t="shared" si="3"/>
        <v>5.0298218413350202E-3</v>
      </c>
      <c r="H43" s="54">
        <f>+F43*D43+G43*E43</f>
        <v>4.9032827238905527E-3</v>
      </c>
      <c r="I43" s="52">
        <f>+(H43+H42)/2</f>
        <v>4.9585010055903378E-3</v>
      </c>
      <c r="M43" s="61" t="s">
        <v>8</v>
      </c>
      <c r="N43" s="62">
        <f>+M41*C9/2-O41</f>
        <v>1.8616939590931615E-2</v>
      </c>
      <c r="O43" s="9" t="s">
        <v>9</v>
      </c>
    </row>
    <row r="44" spans="2:15" x14ac:dyDescent="0.45">
      <c r="B44" s="45">
        <f t="shared" si="1"/>
        <v>3.75</v>
      </c>
      <c r="C44" s="46">
        <f>+$C$16*B44-$C$10*B44^2/2</f>
        <v>118.125</v>
      </c>
      <c r="D44" s="47">
        <f>MIN(1,0.5*($C$17/C44)^2)</f>
        <v>3.9814737051656536E-2</v>
      </c>
      <c r="E44" s="48">
        <f t="shared" si="0"/>
        <v>0.9601852629483435</v>
      </c>
      <c r="F44" s="53">
        <f t="shared" si="2"/>
        <v>1.5542763157894734E-3</v>
      </c>
      <c r="G44" s="12">
        <f t="shared" si="3"/>
        <v>4.850185347001627E-3</v>
      </c>
      <c r="H44" s="54">
        <f>+F44*D44+G44*E44</f>
        <v>4.7189595955777356E-3</v>
      </c>
      <c r="I44" s="52">
        <f>+(H44+H43)/2</f>
        <v>4.8111211597341441E-3</v>
      </c>
    </row>
    <row r="45" spans="2:15" x14ac:dyDescent="0.45">
      <c r="B45" s="45">
        <f t="shared" si="1"/>
        <v>4</v>
      </c>
      <c r="C45" s="46">
        <f>+$C$16*B45-$C$10*B45^2/2</f>
        <v>112</v>
      </c>
      <c r="D45" s="47">
        <f>MIN(1,0.5*($C$17/C45)^2)</f>
        <v>4.42885487528345E-2</v>
      </c>
      <c r="E45" s="48">
        <f t="shared" si="0"/>
        <v>0.9557114512471655</v>
      </c>
      <c r="F45" s="53">
        <f t="shared" si="2"/>
        <v>1.4736842105263154E-3</v>
      </c>
      <c r="G45" s="12">
        <f t="shared" si="3"/>
        <v>4.5986942549348757E-3</v>
      </c>
      <c r="H45" s="54">
        <f>+F45*D45+G45*E45</f>
        <v>4.4602920952299899E-3</v>
      </c>
      <c r="I45" s="52">
        <f>+(H45+H44)/2</f>
        <v>4.5896258454038632E-3</v>
      </c>
    </row>
    <row r="46" spans="2:15" x14ac:dyDescent="0.45">
      <c r="B46" s="45">
        <f t="shared" si="1"/>
        <v>4.25</v>
      </c>
      <c r="C46" s="46">
        <f>+$C$16*B46-$C$10*B46^2/2</f>
        <v>104.125</v>
      </c>
      <c r="D46" s="47">
        <f>MIN(1,0.5*($C$17/C46)^2)</f>
        <v>5.1240984589113782E-2</v>
      </c>
      <c r="E46" s="48">
        <f t="shared" si="0"/>
        <v>0.94875901541088625</v>
      </c>
      <c r="F46" s="53">
        <f t="shared" si="2"/>
        <v>1.3700657894736839E-3</v>
      </c>
      <c r="G46" s="12">
        <f t="shared" si="3"/>
        <v>4.2753485651347671E-3</v>
      </c>
      <c r="H46" s="54">
        <f>+F46*D46+G46*E46</f>
        <v>4.1264790152000996E-3</v>
      </c>
      <c r="I46" s="52">
        <f>+(H46+H45)/2</f>
        <v>4.2933855552150443E-3</v>
      </c>
    </row>
    <row r="47" spans="2:15" x14ac:dyDescent="0.45">
      <c r="B47" s="45">
        <f t="shared" si="1"/>
        <v>4.5</v>
      </c>
      <c r="C47" s="46">
        <f>+$C$16*B47-$C$10*B47^2/2</f>
        <v>94.5</v>
      </c>
      <c r="D47" s="47">
        <f>MIN(1,0.5*($C$17/C47)^2)</f>
        <v>6.2210526643213332E-2</v>
      </c>
      <c r="E47" s="48">
        <f t="shared" si="0"/>
        <v>0.93778947335678664</v>
      </c>
      <c r="F47" s="53">
        <f t="shared" si="2"/>
        <v>1.2434210526315788E-3</v>
      </c>
      <c r="G47" s="12">
        <f t="shared" si="3"/>
        <v>3.8801482776013017E-3</v>
      </c>
      <c r="H47" s="54">
        <f>+F47*D47+G47*E47</f>
        <v>3.7161160883214367E-3</v>
      </c>
      <c r="I47" s="52">
        <f>+(H47+H46)/2</f>
        <v>3.921297551760768E-3</v>
      </c>
    </row>
    <row r="48" spans="2:15" x14ac:dyDescent="0.45">
      <c r="B48" s="45">
        <f t="shared" si="1"/>
        <v>4.75</v>
      </c>
      <c r="C48" s="46">
        <f>+$C$16*B48-$C$10*B48^2/2</f>
        <v>83.125</v>
      </c>
      <c r="D48" s="47">
        <f>MIN(1,0.5*($C$17/C48)^2)</f>
        <v>8.0401505015672045E-2</v>
      </c>
      <c r="E48" s="48">
        <f t="shared" si="0"/>
        <v>0.919598494984328</v>
      </c>
      <c r="F48" s="53">
        <f t="shared" si="2"/>
        <v>1.0937499999999999E-3</v>
      </c>
      <c r="G48" s="12">
        <f t="shared" si="3"/>
        <v>3.4130933923344781E-3</v>
      </c>
      <c r="H48" s="54">
        <f>+F48*D48+G48*E48</f>
        <v>3.2266146929426317E-3</v>
      </c>
      <c r="I48" s="52">
        <f>+(H48+H47)/2</f>
        <v>3.4713653906320342E-3</v>
      </c>
    </row>
    <row r="49" spans="2:9" x14ac:dyDescent="0.45">
      <c r="B49" s="45">
        <f t="shared" si="1"/>
        <v>5</v>
      </c>
      <c r="C49" s="46">
        <f>+$C$16*B49-$C$10*B49^2/2</f>
        <v>70</v>
      </c>
      <c r="D49" s="47">
        <f>MIN(1,0.5*($C$17/C49)^2)</f>
        <v>0.1133786848072563</v>
      </c>
      <c r="E49" s="48">
        <f t="shared" si="0"/>
        <v>0.88662131519274368</v>
      </c>
      <c r="F49" s="53">
        <f t="shared" si="2"/>
        <v>9.2105263157894724E-4</v>
      </c>
      <c r="G49" s="12">
        <f t="shared" si="3"/>
        <v>2.8741839093342973E-3</v>
      </c>
      <c r="H49" s="54">
        <f>+F49*D49+G49*E49</f>
        <v>2.6527404538064796E-3</v>
      </c>
      <c r="I49" s="52">
        <f>+(H49+H48)/2</f>
        <v>2.9396775733745556E-3</v>
      </c>
    </row>
    <row r="50" spans="2:9" x14ac:dyDescent="0.45">
      <c r="B50" s="45">
        <f t="shared" si="1"/>
        <v>5.25</v>
      </c>
      <c r="C50" s="46">
        <f>+$C$16*B50-$C$10*B50^2/2</f>
        <v>55.125</v>
      </c>
      <c r="D50" s="47">
        <f>MIN(1,0.5*($C$17/C50)^2)</f>
        <v>0.18282277217597387</v>
      </c>
      <c r="E50" s="48">
        <f t="shared" si="0"/>
        <v>0.81717722782402613</v>
      </c>
      <c r="F50" s="53">
        <f t="shared" si="2"/>
        <v>7.2532894736842093E-4</v>
      </c>
      <c r="G50" s="12">
        <f t="shared" si="3"/>
        <v>2.2634198286007592E-3</v>
      </c>
      <c r="H50" s="54">
        <f>+F50*D50+G50*E50</f>
        <v>1.9822217898352768E-3</v>
      </c>
      <c r="I50" s="52">
        <f>+(H50+H49)/2</f>
        <v>2.3174811218208782E-3</v>
      </c>
    </row>
    <row r="51" spans="2:9" x14ac:dyDescent="0.45">
      <c r="B51" s="45">
        <f t="shared" si="1"/>
        <v>5.5</v>
      </c>
      <c r="C51" s="46">
        <f>+$C$16*B51-$C$10*B51^2/2</f>
        <v>38.5</v>
      </c>
      <c r="D51" s="47">
        <f>MIN(1,0.5*($C$17/C51)^2)</f>
        <v>0.37480556961076461</v>
      </c>
      <c r="E51" s="48">
        <f t="shared" si="0"/>
        <v>0.62519443038923539</v>
      </c>
      <c r="F51" s="53">
        <f t="shared" si="2"/>
        <v>5.0657894736842095E-4</v>
      </c>
      <c r="G51" s="12">
        <f t="shared" si="3"/>
        <v>1.5808011501338636E-3</v>
      </c>
      <c r="H51" s="54">
        <f>+F51*D51+G51*E51</f>
        <v>1.1781766855378315E-3</v>
      </c>
      <c r="I51" s="52">
        <f>+(H51+H50)/2</f>
        <v>1.580199237686554E-3</v>
      </c>
    </row>
    <row r="52" spans="2:9" x14ac:dyDescent="0.45">
      <c r="B52" s="45">
        <f t="shared" si="1"/>
        <v>5.75</v>
      </c>
      <c r="C52" s="46">
        <f>+$C$16*B52-$C$10*B52^2/2</f>
        <v>20.125</v>
      </c>
      <c r="D52" s="47">
        <f>MIN(1,0.5*($C$17/C52)^2)</f>
        <v>1</v>
      </c>
      <c r="E52" s="48">
        <f t="shared" si="0"/>
        <v>0</v>
      </c>
      <c r="F52" s="53">
        <f t="shared" si="2"/>
        <v>2.6480263157894731E-4</v>
      </c>
      <c r="G52" s="12">
        <f t="shared" si="3"/>
        <v>8.2632787393361056E-4</v>
      </c>
      <c r="H52" s="54">
        <f>+F52*D52+G52*E52</f>
        <v>2.6480263157894731E-4</v>
      </c>
      <c r="I52" s="52">
        <f>+(H52+H51)/2</f>
        <v>7.2148965855838942E-4</v>
      </c>
    </row>
    <row r="53" spans="2:9" x14ac:dyDescent="0.45">
      <c r="B53" s="63">
        <f t="shared" si="1"/>
        <v>6</v>
      </c>
      <c r="C53" s="46">
        <f>+$C$16*B53-$C$10*B53^2/2</f>
        <v>0</v>
      </c>
      <c r="D53" s="64">
        <v>1</v>
      </c>
      <c r="E53" s="65">
        <f t="shared" si="0"/>
        <v>0</v>
      </c>
      <c r="F53" s="57">
        <f t="shared" si="2"/>
        <v>0</v>
      </c>
      <c r="G53" s="66">
        <f t="shared" si="3"/>
        <v>0</v>
      </c>
      <c r="H53" s="58">
        <f>+F53*D53+G53*E53</f>
        <v>0</v>
      </c>
      <c r="I53" s="67">
        <f>+(H53+H52)/2</f>
        <v>1.3240131578947365E-4</v>
      </c>
    </row>
  </sheetData>
  <sheetProtection password="C792" sheet="1" objects="1" scenarios="1"/>
  <mergeCells count="6">
    <mergeCell ref="J26:O26"/>
    <mergeCell ref="B5:C5"/>
    <mergeCell ref="F28:H28"/>
    <mergeCell ref="D28:E28"/>
    <mergeCell ref="D26:E26"/>
    <mergeCell ref="F26:I26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biapoyada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 Carlos Arroyo Portero</dc:creator>
  <cp:lastModifiedBy>Jun Carlos Arroyo Portero</cp:lastModifiedBy>
  <cp:lastPrinted>2016-12-22T14:51:37Z</cp:lastPrinted>
  <dcterms:created xsi:type="dcterms:W3CDTF">2016-12-19T18:25:11Z</dcterms:created>
  <dcterms:modified xsi:type="dcterms:W3CDTF">2017-01-11T17:18:35Z</dcterms:modified>
</cp:coreProperties>
</file>